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5585" activeTab="0"/>
  </bookViews>
  <sheets>
    <sheet name="Conservation Budget Model" sheetId="1" r:id="rId1"/>
    <sheet name="Constants &amp; Assumptions" sheetId="2" r:id="rId2"/>
    <sheet name="Featured Scenarios" sheetId="3" r:id="rId3"/>
  </sheets>
  <definedNames/>
  <calcPr fullCalcOnLoad="1"/>
</workbook>
</file>

<file path=xl/sharedStrings.xml><?xml version="1.0" encoding="utf-8"?>
<sst xmlns="http://schemas.openxmlformats.org/spreadsheetml/2006/main" count="489" uniqueCount="112">
  <si>
    <t>BCV</t>
  </si>
  <si>
    <t>Karst Zones 1 and 2</t>
  </si>
  <si>
    <t>Karst Zones 3 and 4</t>
  </si>
  <si>
    <t>Species Caves</t>
  </si>
  <si>
    <t>GCW (Bexar)</t>
  </si>
  <si>
    <t>GCW (non-Bexar)</t>
  </si>
  <si>
    <t>Bexar County</t>
  </si>
  <si>
    <t>non-Bexar County</t>
  </si>
  <si>
    <t>Karst Conservation Level</t>
  </si>
  <si>
    <t>GCW Mitigation Ratios</t>
  </si>
  <si>
    <t>BCV Mitigation Ratio</t>
  </si>
  <si>
    <t>Bexar County or w/in 5 miles</t>
  </si>
  <si>
    <t>Rural Areas</t>
  </si>
  <si>
    <t>Bexar (urban tracts)</t>
  </si>
  <si>
    <t>Bexar or w/in 5 miles (acreage tracts)</t>
  </si>
  <si>
    <t>Rural (acreage tracts)</t>
  </si>
  <si>
    <t>% of Acquisitions as Easements</t>
  </si>
  <si>
    <t>% Cost Discount for Easements</t>
  </si>
  <si>
    <t>Value</t>
  </si>
  <si>
    <t>Units</t>
  </si>
  <si>
    <t>%</t>
  </si>
  <si>
    <t>ac</t>
  </si>
  <si>
    <t>:1</t>
  </si>
  <si>
    <t>Estimted Annual Price Inflation</t>
  </si>
  <si>
    <t>GCW</t>
  </si>
  <si>
    <t>Karst</t>
  </si>
  <si>
    <t>% of acquisition costs</t>
  </si>
  <si>
    <t>Estimated Management and Administration Costs</t>
  </si>
  <si>
    <t>Available Habitat (Plan Area excluding Comal)</t>
  </si>
  <si>
    <t>Covered Habitat Loss</t>
  </si>
  <si>
    <t>Estimated Acquisition Costs</t>
  </si>
  <si>
    <t>Mid-Point</t>
  </si>
  <si>
    <t>%per year</t>
  </si>
  <si>
    <t>calculated using mid-point price over 30 years, considering inflation</t>
  </si>
  <si>
    <t>GCW (Model C2010 - Ranks 3 and 4)</t>
  </si>
  <si>
    <t>species caves</t>
  </si>
  <si>
    <t>KFAs per KFR (3 = 1200 ac; 6 = 2,400 ac)</t>
  </si>
  <si>
    <t>Distribution of Bexar County GCW Mitigation</t>
  </si>
  <si>
    <t>Distribution of non-Bexar County GCW Mitigation</t>
  </si>
  <si>
    <t>Distribution of BCV Mitigation</t>
  </si>
  <si>
    <t>(Take Authorization)</t>
  </si>
  <si>
    <t>Estimated</t>
  </si>
  <si>
    <t>Acquisistion Costs</t>
  </si>
  <si>
    <t>&amp; Admin. Costs</t>
  </si>
  <si>
    <t>Estimated Management</t>
  </si>
  <si>
    <t>Total Estimated</t>
  </si>
  <si>
    <t>Plan Cost</t>
  </si>
  <si>
    <t>Acres of</t>
  </si>
  <si>
    <t>Mitigation / Preserves</t>
  </si>
  <si>
    <t>Additional Acreage for Habitat Buffers</t>
  </si>
  <si>
    <t>GCW subtotal</t>
  </si>
  <si>
    <t>BCV subtotal</t>
  </si>
  <si>
    <t>BCV (non-Bexar)</t>
  </si>
  <si>
    <t>BCV (Bexar)</t>
  </si>
  <si>
    <t>Bexar County urban areas</t>
  </si>
  <si>
    <t>GCW - Bexar or w/in 5 miles</t>
  </si>
  <si>
    <t>GCW - Rural areas</t>
  </si>
  <si>
    <t>Participation Revenue</t>
  </si>
  <si>
    <t>Participation Rates</t>
  </si>
  <si>
    <t>GCW/BCV Bexar County</t>
  </si>
  <si>
    <t>GCW/BCV non-Bexar County</t>
  </si>
  <si>
    <t>Total</t>
  </si>
  <si>
    <t>Public Revenue</t>
  </si>
  <si>
    <t>% of Costs</t>
  </si>
  <si>
    <t>Participation Fees - 2010</t>
  </si>
  <si>
    <t>Participation Fees w/ Inflation</t>
  </si>
  <si>
    <t>Bexar or 5 mi.</t>
  </si>
  <si>
    <t>Rural</t>
  </si>
  <si>
    <t>Bexar</t>
  </si>
  <si>
    <t>Non-Bexar</t>
  </si>
  <si>
    <t>TOTAL PLAN</t>
  </si>
  <si>
    <t>Karst (Impact Area A)</t>
  </si>
  <si>
    <t>Karst (Impact Area B)</t>
  </si>
  <si>
    <t>Karst (General Karst Zone)</t>
  </si>
  <si>
    <t>per cave</t>
  </si>
  <si>
    <t>Impact Area 2 (150ft to 345ft from cave)</t>
  </si>
  <si>
    <t>Impact Area 2 Size =</t>
  </si>
  <si>
    <t>Karst (Impact Area 1)</t>
  </si>
  <si>
    <t>Karst (Impact Area 2)</t>
  </si>
  <si>
    <t>Karst (General Karst Zones)</t>
  </si>
  <si>
    <t>BAT Recommendation</t>
  </si>
  <si>
    <t>Featured Scenarios Summary</t>
  </si>
  <si>
    <t>GCW 3:1 / 2:1 w/ 10% Bexar County Preserve Requirement</t>
  </si>
  <si>
    <t>GCW Flat 2:1 w/ 60% Bexar County Preserve Requirement</t>
  </si>
  <si>
    <t>GCW/BCV Flat 1:1 w/ 60% Bexar County Preserve Requirement</t>
  </si>
  <si>
    <t>GCW Flat 2:1 w/ 10% Bexar County Preserve Requirement</t>
  </si>
  <si>
    <t>NUMBERS IN BLUE ARE VARIABLES THAT CAN BE CHANGED</t>
  </si>
  <si>
    <t>uses GCW C2010 habitat and Dec. 17, 2010 development estimates</t>
  </si>
  <si>
    <t>uses Dec. 17, 2010 development estimates</t>
  </si>
  <si>
    <t>Estimated Habitat Loss (2010 - 2040) - Excluding Comal</t>
  </si>
  <si>
    <t>uses Dec. 17, 2010 karst data and Dec. 17, 2010 development estiamtes</t>
  </si>
  <si>
    <t>per acre take</t>
  </si>
  <si>
    <t>uses Dec. 17, 2010 karst data</t>
  </si>
  <si>
    <t>ac per cave</t>
  </si>
  <si>
    <t>per acre mitigation (per credit)</t>
  </si>
  <si>
    <t xml:space="preserve"> </t>
  </si>
  <si>
    <t>BCV (Wilkins et al. 2006)</t>
  </si>
  <si>
    <t>GCW 2:1, BCV 1:1, 25% Bexar Preserve</t>
  </si>
  <si>
    <t>per Funding Estimate Oct 10, 2010</t>
  </si>
  <si>
    <t>per Funding Estimate Oct 10, 2010 (average of Growth and Bexar ranchland categories)</t>
  </si>
  <si>
    <t xml:space="preserve">per Funding Estimate Oct 10, 2010 (Camp Bullis zone) </t>
  </si>
  <si>
    <t>1)  BAT Recommendations</t>
  </si>
  <si>
    <t>2)  GCW 3:1 / 2:1 w/ 10% Bexar County Preserve Requirement</t>
  </si>
  <si>
    <t>3)  GCW Flat 2:1 w/ 60% Bexar County Preserve Requirement</t>
  </si>
  <si>
    <t>4)  GCW Flat 2:1 w/ 10% Bexar County Preserve Requirement</t>
  </si>
  <si>
    <t>5)  GCW/BCV Flat 1:1 w/ 60% Bexar County Preserve Requirement</t>
  </si>
  <si>
    <t>6)  GCW 2:1, BCV 1:1, 25% Bexar Preserve</t>
  </si>
  <si>
    <t>Featured Scenarios are alternatives that have been mentioned or suggested by various CAC members and others involved in the planning process.  The alternatives are focused on changes in the GCW/BCV mitigation ratios and the amount of preserve land that should be located in or near Bexar County.</t>
  </si>
  <si>
    <t>Total Acres of Mitigation</t>
  </si>
  <si>
    <t>(Preserve Size)</t>
  </si>
  <si>
    <t>Acres of Mitigation w/in</t>
  </si>
  <si>
    <t>5 miles of Bexar Co.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</si>
</sst>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0.0"/>
    <numFmt numFmtId="172" formatCode="0\ &quot;caves&quot;"/>
    <numFmt numFmtId="173" formatCode="#,##0\ &quot;ac&quot;"/>
    <numFmt numFmtId="174" formatCode="0\ &quot;caves impacted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2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165" fontId="0" fillId="0" borderId="0" xfId="17" applyNumberFormat="1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left" indent="2"/>
    </xf>
    <xf numFmtId="167" fontId="0" fillId="0" borderId="0" xfId="15" applyNumberFormat="1" applyBorder="1" applyAlignment="1">
      <alignment/>
    </xf>
    <xf numFmtId="165" fontId="0" fillId="0" borderId="0" xfId="17" applyNumberFormat="1" applyBorder="1" applyAlignment="1">
      <alignment/>
    </xf>
    <xf numFmtId="165" fontId="0" fillId="0" borderId="5" xfId="0" applyNumberFormat="1" applyBorder="1" applyAlignment="1">
      <alignment/>
    </xf>
    <xf numFmtId="0" fontId="3" fillId="0" borderId="4" xfId="0" applyFont="1" applyBorder="1" applyAlignment="1">
      <alignment horizontal="left"/>
    </xf>
    <xf numFmtId="167" fontId="4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7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165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9" fontId="0" fillId="0" borderId="7" xfId="19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17" applyNumberFormat="1" applyFill="1" applyBorder="1" applyAlignment="1">
      <alignment/>
    </xf>
    <xf numFmtId="165" fontId="1" fillId="2" borderId="5" xfId="17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7" fontId="3" fillId="0" borderId="0" xfId="15" applyNumberFormat="1" applyFont="1" applyBorder="1" applyAlignment="1">
      <alignment/>
    </xf>
    <xf numFmtId="173" fontId="1" fillId="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167" fontId="6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165" fontId="6" fillId="0" borderId="0" xfId="17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54" sqref="A54"/>
    </sheetView>
  </sheetViews>
  <sheetFormatPr defaultColWidth="9.140625" defaultRowHeight="12.75"/>
  <cols>
    <col min="1" max="1" width="45.57421875" style="0" customWidth="1"/>
    <col min="2" max="2" width="11.57421875" style="0" bestFit="1" customWidth="1"/>
    <col min="3" max="3" width="12.28125" style="0" customWidth="1"/>
    <col min="5" max="5" width="17.140625" style="0" customWidth="1"/>
    <col min="6" max="10" width="22.8515625" style="0" customWidth="1"/>
  </cols>
  <sheetData>
    <row r="1" spans="1:5" ht="12.75">
      <c r="A1" s="8" t="s">
        <v>58</v>
      </c>
      <c r="B1" s="11" t="s">
        <v>18</v>
      </c>
      <c r="C1" s="11" t="s">
        <v>19</v>
      </c>
      <c r="E1" s="53" t="s">
        <v>86</v>
      </c>
    </row>
    <row r="2" spans="1:3" ht="12.75">
      <c r="A2" s="10" t="s">
        <v>59</v>
      </c>
      <c r="B2" s="49">
        <v>50</v>
      </c>
      <c r="C2" s="9" t="s">
        <v>20</v>
      </c>
    </row>
    <row r="3" spans="1:3" ht="12.75">
      <c r="A3" s="10" t="s">
        <v>60</v>
      </c>
      <c r="B3" s="49">
        <v>20</v>
      </c>
      <c r="C3" s="9" t="s">
        <v>20</v>
      </c>
    </row>
    <row r="4" spans="1:3" ht="12.75">
      <c r="A4" s="10" t="s">
        <v>77</v>
      </c>
      <c r="B4" s="49">
        <v>5</v>
      </c>
      <c r="C4" s="9" t="s">
        <v>20</v>
      </c>
    </row>
    <row r="5" spans="1:3" ht="12.75">
      <c r="A5" s="10" t="s">
        <v>78</v>
      </c>
      <c r="B5" s="49">
        <v>5</v>
      </c>
      <c r="C5" s="9" t="s">
        <v>20</v>
      </c>
    </row>
    <row r="6" spans="1:3" ht="13.5" thickBot="1">
      <c r="A6" s="10" t="s">
        <v>79</v>
      </c>
      <c r="B6" s="49">
        <v>50</v>
      </c>
      <c r="C6" s="9" t="s">
        <v>20</v>
      </c>
    </row>
    <row r="7" spans="1:10" ht="12.75">
      <c r="A7" s="9"/>
      <c r="B7" s="49"/>
      <c r="C7" s="9"/>
      <c r="E7" s="14"/>
      <c r="F7" s="15" t="s">
        <v>29</v>
      </c>
      <c r="G7" s="15" t="s">
        <v>47</v>
      </c>
      <c r="H7" s="15" t="s">
        <v>41</v>
      </c>
      <c r="I7" s="15" t="s">
        <v>44</v>
      </c>
      <c r="J7" s="16" t="s">
        <v>45</v>
      </c>
    </row>
    <row r="8" spans="1:10" ht="12.75">
      <c r="A8" s="11" t="s">
        <v>8</v>
      </c>
      <c r="B8" s="49"/>
      <c r="C8" s="9"/>
      <c r="E8" s="17"/>
      <c r="F8" s="18" t="s">
        <v>40</v>
      </c>
      <c r="G8" s="18" t="s">
        <v>48</v>
      </c>
      <c r="H8" s="18" t="s">
        <v>42</v>
      </c>
      <c r="I8" s="18" t="s">
        <v>43</v>
      </c>
      <c r="J8" s="19" t="s">
        <v>46</v>
      </c>
    </row>
    <row r="9" spans="1:10" ht="12.75">
      <c r="A9" s="10" t="s">
        <v>36</v>
      </c>
      <c r="B9" s="50">
        <v>2400</v>
      </c>
      <c r="C9" s="9" t="s">
        <v>21</v>
      </c>
      <c r="E9" s="20" t="s">
        <v>24</v>
      </c>
      <c r="F9" s="21"/>
      <c r="G9" s="21"/>
      <c r="H9" s="21"/>
      <c r="I9" s="21"/>
      <c r="J9" s="22"/>
    </row>
    <row r="10" spans="1:10" ht="12.75">
      <c r="A10" s="10"/>
      <c r="B10" s="50"/>
      <c r="C10" s="9"/>
      <c r="E10" s="23" t="s">
        <v>66</v>
      </c>
      <c r="F10" s="24">
        <f>'Constants &amp; Assumptions'!B9*B2/100</f>
        <v>7441.5</v>
      </c>
      <c r="G10" s="24">
        <f>(F10*B12*B18/100)+(F10*B12*B18/100)*'Constants &amp; Assumptions'!B47/100</f>
        <v>16743.375</v>
      </c>
      <c r="H10" s="25">
        <f>G10*('Constants &amp; Assumptions'!C26*'Constants &amp; Assumptions'!B32/100*'Constants &amp; Assumptions'!B37/100+'Constants &amp; Assumptions'!C26*(100-'Constants &amp; Assumptions'!B32)/100)</f>
        <v>376573450.1058919</v>
      </c>
      <c r="I10" s="25">
        <f>H10*'Constants &amp; Assumptions'!B42/100</f>
        <v>112972035.03176756</v>
      </c>
      <c r="J10" s="26">
        <f>H10+I10</f>
        <v>489545485.13765943</v>
      </c>
    </row>
    <row r="11" spans="1:10" ht="12.75">
      <c r="A11" s="2" t="s">
        <v>9</v>
      </c>
      <c r="B11" s="51"/>
      <c r="E11" s="23" t="s">
        <v>67</v>
      </c>
      <c r="F11" s="24">
        <f>'Constants &amp; Assumptions'!B10*B3/100</f>
        <v>2620.8</v>
      </c>
      <c r="G11" s="24">
        <f>((F11*B13)+(F10*B12*B19/100))+((F11*B13)+(F10*B12*B19/100))*'Constants &amp; Assumptions'!B47/100</f>
        <v>17714.25</v>
      </c>
      <c r="H11" s="25">
        <f>G11*('Constants &amp; Assumptions'!C27*'Constants &amp; Assumptions'!B33/100*'Constants &amp; Assumptions'!B38/100+'Constants &amp; Assumptions'!C27*(100-'Constants &amp; Assumptions'!B33)/100)</f>
        <v>28760171.021044638</v>
      </c>
      <c r="I11" s="25">
        <f>H11*'Constants &amp; Assumptions'!B42/100</f>
        <v>8628051.306313392</v>
      </c>
      <c r="J11" s="26">
        <f>H11+I11</f>
        <v>37388222.32735803</v>
      </c>
    </row>
    <row r="12" spans="1:10" ht="12.75">
      <c r="A12" s="1" t="s">
        <v>6</v>
      </c>
      <c r="B12" s="51">
        <v>3</v>
      </c>
      <c r="C12" t="s">
        <v>22</v>
      </c>
      <c r="E12" s="27" t="s">
        <v>50</v>
      </c>
      <c r="F12" s="45">
        <f>F10+F11</f>
        <v>10062.3</v>
      </c>
      <c r="G12" s="28">
        <f>G10+G11</f>
        <v>34457.625</v>
      </c>
      <c r="H12" s="29">
        <f>H10+H11</f>
        <v>405333621.1269365</v>
      </c>
      <c r="I12" s="29">
        <f>I10+I11</f>
        <v>121600086.33808096</v>
      </c>
      <c r="J12" s="30">
        <f>J10+J11</f>
        <v>526933707.46501744</v>
      </c>
    </row>
    <row r="13" spans="1:10" ht="12.75">
      <c r="A13" s="1" t="s">
        <v>7</v>
      </c>
      <c r="B13" s="51">
        <v>2</v>
      </c>
      <c r="C13" t="s">
        <v>22</v>
      </c>
      <c r="E13" s="20"/>
      <c r="F13" s="21"/>
      <c r="G13" s="21"/>
      <c r="H13" s="21"/>
      <c r="I13" s="21"/>
      <c r="J13" s="22"/>
    </row>
    <row r="14" spans="2:10" ht="12.75">
      <c r="B14" s="51"/>
      <c r="E14" s="20" t="s">
        <v>0</v>
      </c>
      <c r="F14" s="21"/>
      <c r="G14" s="21"/>
      <c r="H14" s="21"/>
      <c r="I14" s="21"/>
      <c r="J14" s="22"/>
    </row>
    <row r="15" spans="1:10" ht="12.75">
      <c r="A15" s="2" t="s">
        <v>10</v>
      </c>
      <c r="B15" s="51">
        <v>2</v>
      </c>
      <c r="C15" t="s">
        <v>22</v>
      </c>
      <c r="E15" s="23" t="s">
        <v>68</v>
      </c>
      <c r="F15" s="24">
        <f>'Constants &amp; Assumptions'!B12*B2/100</f>
        <v>2537</v>
      </c>
      <c r="G15" s="24">
        <f>(F15*B15*B26/100)+(F15*B15*B26/100)*'Constants &amp; Assumptions'!B47/100</f>
        <v>0</v>
      </c>
      <c r="H15" s="25">
        <f>G15*('Constants &amp; Assumptions'!C26*'Constants &amp; Assumptions'!B32/100*'Constants &amp; Assumptions'!B37/100+'Constants &amp; Assumptions'!C26*(100-'Constants &amp; Assumptions'!B32)/100)</f>
        <v>0</v>
      </c>
      <c r="I15" s="25">
        <f>H15*'Constants &amp; Assumptions'!B43/100</f>
        <v>0</v>
      </c>
      <c r="J15" s="26">
        <f>H15+I15</f>
        <v>0</v>
      </c>
    </row>
    <row r="16" spans="2:10" ht="12.75">
      <c r="B16" s="51"/>
      <c r="E16" s="23" t="s">
        <v>69</v>
      </c>
      <c r="F16" s="24">
        <f>'Constants &amp; Assumptions'!B13*B3/100</f>
        <v>859.2</v>
      </c>
      <c r="G16" s="24">
        <f>((F16*B15)+(F15*B15*B27/100))+((F16*B15)+(F15*B15*B27/100))*'Constants &amp; Assumptions'!B47/100</f>
        <v>8490.5</v>
      </c>
      <c r="H16" s="25">
        <f>G16*('Constants &amp; Assumptions'!C27*'Constants &amp; Assumptions'!B33/100*'Constants &amp; Assumptions'!B38/100+'Constants &amp; Assumptions'!C27*(100-'Constants &amp; Assumptions'!B33)/100)</f>
        <v>13784847.343476553</v>
      </c>
      <c r="I16" s="25">
        <f>H16*'Constants &amp; Assumptions'!B43/100</f>
        <v>4135454.2030429654</v>
      </c>
      <c r="J16" s="26">
        <f>H16+I16</f>
        <v>17920301.546519518</v>
      </c>
    </row>
    <row r="17" spans="1:10" ht="12.75">
      <c r="A17" s="2" t="s">
        <v>37</v>
      </c>
      <c r="B17" s="51"/>
      <c r="E17" s="27" t="s">
        <v>51</v>
      </c>
      <c r="F17" s="45">
        <f>F15+F16</f>
        <v>3396.2</v>
      </c>
      <c r="G17" s="28">
        <f>G15+G16</f>
        <v>8490.5</v>
      </c>
      <c r="H17" s="31">
        <f>H15+H16</f>
        <v>13784847.343476553</v>
      </c>
      <c r="I17" s="29">
        <f>I15+I16</f>
        <v>4135454.2030429654</v>
      </c>
      <c r="J17" s="30">
        <f>J15+J16</f>
        <v>17920301.546519518</v>
      </c>
    </row>
    <row r="18" spans="1:10" ht="12.75">
      <c r="A18" s="1" t="s">
        <v>11</v>
      </c>
      <c r="B18" s="51">
        <v>60</v>
      </c>
      <c r="C18" t="s">
        <v>20</v>
      </c>
      <c r="E18" s="20"/>
      <c r="F18" s="21"/>
      <c r="G18" s="21"/>
      <c r="H18" s="21"/>
      <c r="I18" s="21"/>
      <c r="J18" s="22"/>
    </row>
    <row r="19" spans="1:10" ht="12.75">
      <c r="A19" s="1" t="s">
        <v>12</v>
      </c>
      <c r="B19" s="56">
        <f>100-B18</f>
        <v>40</v>
      </c>
      <c r="C19" t="s">
        <v>20</v>
      </c>
      <c r="E19" s="20" t="s">
        <v>25</v>
      </c>
      <c r="F19" s="58">
        <f>'Constants &amp; Assumptions'!B17</f>
        <v>249</v>
      </c>
      <c r="G19" s="32">
        <f>B9</f>
        <v>2400</v>
      </c>
      <c r="H19" s="25">
        <f>G19*('Constants &amp; Assumptions'!C25*'Constants &amp; Assumptions'!B31/100*'Constants &amp; Assumptions'!B36/100+'Constants &amp; Assumptions'!C25*(100-'Constants &amp; Assumptions'!B31)/100)</f>
        <v>144222849.26450205</v>
      </c>
      <c r="I19" s="25">
        <f>H19*'Constants &amp; Assumptions'!B44/100</f>
        <v>43266854.779350616</v>
      </c>
      <c r="J19" s="26">
        <f>H19+I19</f>
        <v>187489704.04385266</v>
      </c>
    </row>
    <row r="20" spans="2:10" ht="12.75">
      <c r="B20" s="51"/>
      <c r="E20" s="17"/>
      <c r="F20" s="21"/>
      <c r="G20" s="21"/>
      <c r="H20" s="21"/>
      <c r="I20" s="21"/>
      <c r="J20" s="22"/>
    </row>
    <row r="21" spans="1:10" ht="12.75">
      <c r="A21" s="2" t="s">
        <v>38</v>
      </c>
      <c r="B21" s="51"/>
      <c r="E21" s="40" t="s">
        <v>70</v>
      </c>
      <c r="F21" s="41"/>
      <c r="G21" s="46">
        <f>SUM(G12+G17+G19)</f>
        <v>45348.125</v>
      </c>
      <c r="H21" s="42">
        <f>SUM(H12+H17+H19)</f>
        <v>563341317.734915</v>
      </c>
      <c r="I21" s="42">
        <f>SUM(I12+I17+I19)</f>
        <v>169002395.32047454</v>
      </c>
      <c r="J21" s="43">
        <f>SUM(J12+J17+J19)</f>
        <v>732343713.0553896</v>
      </c>
    </row>
    <row r="22" spans="1:10" ht="12.75">
      <c r="A22" s="1" t="s">
        <v>11</v>
      </c>
      <c r="B22" s="51">
        <v>0</v>
      </c>
      <c r="C22" t="s">
        <v>20</v>
      </c>
      <c r="E22" s="17"/>
      <c r="F22" s="21"/>
      <c r="G22" s="21"/>
      <c r="H22" s="21"/>
      <c r="I22" s="21"/>
      <c r="J22" s="22"/>
    </row>
    <row r="23" spans="1:10" ht="12.75">
      <c r="A23" s="1" t="s">
        <v>12</v>
      </c>
      <c r="B23" s="56">
        <f>100-B22</f>
        <v>100</v>
      </c>
      <c r="C23" t="s">
        <v>20</v>
      </c>
      <c r="E23" s="17"/>
      <c r="F23" s="21"/>
      <c r="G23" s="21"/>
      <c r="H23" s="21"/>
      <c r="I23" s="21"/>
      <c r="J23" s="22"/>
    </row>
    <row r="24" spans="1:10" ht="12.75">
      <c r="A24" s="1"/>
      <c r="B24" s="51"/>
      <c r="E24" s="17"/>
      <c r="F24" s="21"/>
      <c r="G24" s="21"/>
      <c r="H24" s="33"/>
      <c r="I24" s="21"/>
      <c r="J24" s="22"/>
    </row>
    <row r="25" spans="1:10" ht="12.75">
      <c r="A25" s="2" t="s">
        <v>39</v>
      </c>
      <c r="B25" s="51"/>
      <c r="E25" s="17"/>
      <c r="F25" s="21"/>
      <c r="G25" s="21"/>
      <c r="H25" s="34"/>
      <c r="I25" s="21"/>
      <c r="J25" s="22"/>
    </row>
    <row r="26" spans="1:10" ht="12.75">
      <c r="A26" s="1" t="s">
        <v>11</v>
      </c>
      <c r="B26" s="51">
        <v>0</v>
      </c>
      <c r="C26" t="s">
        <v>20</v>
      </c>
      <c r="E26" s="17"/>
      <c r="F26" s="21"/>
      <c r="G26" s="21"/>
      <c r="H26" s="33"/>
      <c r="I26" s="21"/>
      <c r="J26" s="22"/>
    </row>
    <row r="27" spans="1:10" ht="12.75">
      <c r="A27" s="1" t="s">
        <v>12</v>
      </c>
      <c r="B27" s="56">
        <v>100</v>
      </c>
      <c r="C27" t="s">
        <v>20</v>
      </c>
      <c r="E27" s="17"/>
      <c r="F27" s="18" t="s">
        <v>41</v>
      </c>
      <c r="G27" s="18" t="s">
        <v>41</v>
      </c>
      <c r="H27" s="21"/>
      <c r="I27" s="21"/>
      <c r="J27" s="22"/>
    </row>
    <row r="28" spans="2:10" ht="12.75">
      <c r="B28" s="51"/>
      <c r="E28" s="17"/>
      <c r="F28" s="18" t="s">
        <v>57</v>
      </c>
      <c r="G28" s="18" t="s">
        <v>62</v>
      </c>
      <c r="H28" s="21"/>
      <c r="I28" s="21"/>
      <c r="J28" s="22"/>
    </row>
    <row r="29" spans="2:10" ht="12.75">
      <c r="B29" s="51"/>
      <c r="E29" s="20" t="s">
        <v>24</v>
      </c>
      <c r="F29" s="25">
        <f>F10*B12*'Constants &amp; Assumptions'!C52+'Conservation Budget Model'!F11*B13*'Constants &amp; Assumptions'!C53</f>
        <v>105195387.18590008</v>
      </c>
      <c r="G29" s="35">
        <f>J12-F29</f>
        <v>421738320.27911735</v>
      </c>
      <c r="H29" s="21"/>
      <c r="I29" s="21"/>
      <c r="J29" s="22"/>
    </row>
    <row r="30" spans="1:10" ht="12.75">
      <c r="A30" s="2" t="s">
        <v>64</v>
      </c>
      <c r="B30" s="51"/>
      <c r="E30" s="20" t="s">
        <v>0</v>
      </c>
      <c r="F30" s="25">
        <f>F17*B15*'Constants &amp; Assumptions'!C54</f>
        <v>14321919.317897713</v>
      </c>
      <c r="G30" s="35">
        <f>J17-F30</f>
        <v>3598382.228621805</v>
      </c>
      <c r="H30" s="21"/>
      <c r="I30" s="21"/>
      <c r="J30" s="22"/>
    </row>
    <row r="31" spans="1:10" ht="12.75">
      <c r="A31" s="1" t="s">
        <v>55</v>
      </c>
      <c r="B31" s="52">
        <v>3000</v>
      </c>
      <c r="C31" t="s">
        <v>94</v>
      </c>
      <c r="E31" s="20" t="s">
        <v>25</v>
      </c>
      <c r="F31" s="25">
        <f>('Constants &amp; Assumptions'!B17*'Conservation Budget Model'!B4/100*'Constants &amp; Assumptions'!C55)+('Constants &amp; Assumptions'!B18*'Conservation Budget Model'!B5/100*'Constants &amp; Assumptions'!C56)+('Constants &amp; Assumptions'!B15*'Conservation Budget Model'!B6/100*'Constants &amp; Assumptions'!C57)</f>
        <v>15518029.077499848</v>
      </c>
      <c r="G31" s="35">
        <f>J19-F31</f>
        <v>171971674.96635282</v>
      </c>
      <c r="H31" s="21"/>
      <c r="I31" s="21"/>
      <c r="J31" s="22"/>
    </row>
    <row r="32" spans="1:10" ht="12.75">
      <c r="A32" s="1" t="s">
        <v>56</v>
      </c>
      <c r="B32" s="52">
        <v>1500</v>
      </c>
      <c r="C32" t="s">
        <v>94</v>
      </c>
      <c r="E32" s="20" t="s">
        <v>95</v>
      </c>
      <c r="F32" s="21"/>
      <c r="G32" s="35"/>
      <c r="H32" s="21"/>
      <c r="I32" s="21"/>
      <c r="J32" s="22"/>
    </row>
    <row r="33" spans="1:10" ht="12.75">
      <c r="A33" s="1" t="s">
        <v>0</v>
      </c>
      <c r="B33" s="52">
        <v>1500</v>
      </c>
      <c r="C33" t="s">
        <v>94</v>
      </c>
      <c r="E33" s="40" t="s">
        <v>61</v>
      </c>
      <c r="F33" s="44">
        <f>F29+F30+F31</f>
        <v>135035335.58129764</v>
      </c>
      <c r="G33" s="44">
        <f>J21-F33</f>
        <v>597308377.474092</v>
      </c>
      <c r="H33" s="21"/>
      <c r="I33" s="21"/>
      <c r="J33" s="22"/>
    </row>
    <row r="34" spans="1:10" ht="13.5" thickBot="1">
      <c r="A34" s="10" t="s">
        <v>77</v>
      </c>
      <c r="B34" s="52">
        <v>400000</v>
      </c>
      <c r="C34" t="s">
        <v>74</v>
      </c>
      <c r="E34" s="36" t="s">
        <v>63</v>
      </c>
      <c r="F34" s="37">
        <f>F33/J21</f>
        <v>0.184387922192874</v>
      </c>
      <c r="G34" s="37">
        <f>G33/J21</f>
        <v>0.815612077807126</v>
      </c>
      <c r="H34" s="38"/>
      <c r="I34" s="38"/>
      <c r="J34" s="39"/>
    </row>
    <row r="35" spans="1:3" ht="12.75">
      <c r="A35" s="10" t="s">
        <v>78</v>
      </c>
      <c r="B35" s="52">
        <v>40000</v>
      </c>
      <c r="C35" t="s">
        <v>91</v>
      </c>
    </row>
    <row r="36" spans="1:3" ht="12.75">
      <c r="A36" s="10" t="s">
        <v>79</v>
      </c>
      <c r="B36" s="52">
        <v>100</v>
      </c>
      <c r="C36" t="s">
        <v>91</v>
      </c>
    </row>
    <row r="39" spans="9:10" ht="12.75">
      <c r="I39" s="59" t="s">
        <v>108</v>
      </c>
      <c r="J39" s="59" t="s">
        <v>110</v>
      </c>
    </row>
    <row r="40" spans="4:10" ht="12.75">
      <c r="D40" s="2" t="s">
        <v>81</v>
      </c>
      <c r="F40" s="2"/>
      <c r="G40" s="2"/>
      <c r="H40" s="2" t="s">
        <v>46</v>
      </c>
      <c r="I40" s="59" t="s">
        <v>109</v>
      </c>
      <c r="J40" s="59" t="s">
        <v>111</v>
      </c>
    </row>
    <row r="41" spans="4:10" ht="12.75">
      <c r="D41">
        <v>1</v>
      </c>
      <c r="E41" s="48" t="s">
        <v>80</v>
      </c>
      <c r="H41" s="5">
        <v>732343713</v>
      </c>
      <c r="I41" s="6">
        <v>45348</v>
      </c>
      <c r="J41" s="6">
        <v>16743</v>
      </c>
    </row>
    <row r="42" spans="4:10" ht="12.75">
      <c r="D42">
        <v>2</v>
      </c>
      <c r="E42" s="48" t="s">
        <v>82</v>
      </c>
      <c r="H42" s="5">
        <v>353838363</v>
      </c>
      <c r="I42" s="6">
        <v>45348</v>
      </c>
      <c r="J42" s="6">
        <v>2791</v>
      </c>
    </row>
    <row r="43" spans="4:10" ht="12.75">
      <c r="D43">
        <v>3</v>
      </c>
      <c r="E43" s="48" t="s">
        <v>83</v>
      </c>
      <c r="H43" s="5">
        <v>561308759</v>
      </c>
      <c r="I43" s="6">
        <v>36046</v>
      </c>
      <c r="J43" s="6">
        <v>11162</v>
      </c>
    </row>
    <row r="44" spans="4:10" ht="12.75">
      <c r="D44">
        <v>4</v>
      </c>
      <c r="E44" s="48" t="s">
        <v>85</v>
      </c>
      <c r="H44" s="13">
        <v>308971859</v>
      </c>
      <c r="I44" s="6">
        <v>36046</v>
      </c>
      <c r="J44" s="6">
        <v>1860</v>
      </c>
    </row>
    <row r="45" spans="4:10" ht="12.75">
      <c r="D45">
        <v>5</v>
      </c>
      <c r="E45" s="48" t="s">
        <v>84</v>
      </c>
      <c r="H45" s="13">
        <v>374399232</v>
      </c>
      <c r="I45" s="6">
        <v>19223</v>
      </c>
      <c r="J45" s="6">
        <v>5581</v>
      </c>
    </row>
    <row r="46" spans="4:10" ht="12.75">
      <c r="D46">
        <v>6</v>
      </c>
      <c r="E46" s="48" t="s">
        <v>97</v>
      </c>
      <c r="H46" s="13">
        <v>368798355</v>
      </c>
      <c r="I46" s="6">
        <v>31801</v>
      </c>
      <c r="J46" s="6">
        <v>4651</v>
      </c>
    </row>
  </sheetData>
  <printOptions/>
  <pageMargins left="0.75" right="0.75" top="1" bottom="1" header="0.5" footer="0.5"/>
  <pageSetup fitToHeight="1" fitToWidth="1" horizontalDpi="1200" verticalDpi="1200" orientation="landscape" paperSize="17" scale="9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N40" sqref="N40"/>
    </sheetView>
  </sheetViews>
  <sheetFormatPr defaultColWidth="9.140625" defaultRowHeight="12.75"/>
  <cols>
    <col min="1" max="1" width="35.57421875" style="0" customWidth="1"/>
    <col min="2" max="3" width="11.28125" style="0" bestFit="1" customWidth="1"/>
    <col min="4" max="4" width="12.28125" style="0" customWidth="1"/>
  </cols>
  <sheetData>
    <row r="1" spans="1:5" ht="12.75">
      <c r="A1" s="2" t="s">
        <v>28</v>
      </c>
      <c r="E1" s="53" t="s">
        <v>86</v>
      </c>
    </row>
    <row r="2" spans="1:3" ht="12.75">
      <c r="A2" s="1" t="s">
        <v>34</v>
      </c>
      <c r="B2" s="6">
        <v>558249</v>
      </c>
      <c r="C2" t="s">
        <v>21</v>
      </c>
    </row>
    <row r="3" spans="1:3" ht="12.75">
      <c r="A3" s="1" t="s">
        <v>96</v>
      </c>
      <c r="B3" s="6">
        <v>178039</v>
      </c>
      <c r="C3" t="s">
        <v>21</v>
      </c>
    </row>
    <row r="4" spans="1:3" ht="12.75">
      <c r="A4" s="1" t="s">
        <v>1</v>
      </c>
      <c r="B4" s="6">
        <v>133979</v>
      </c>
      <c r="C4" t="s">
        <v>21</v>
      </c>
    </row>
    <row r="5" spans="1:3" ht="12.75">
      <c r="A5" s="1" t="s">
        <v>2</v>
      </c>
      <c r="B5" s="6">
        <v>156001</v>
      </c>
      <c r="C5" t="s">
        <v>21</v>
      </c>
    </row>
    <row r="6" spans="1:5" ht="12.75">
      <c r="A6" s="1" t="s">
        <v>3</v>
      </c>
      <c r="B6" s="6">
        <v>654</v>
      </c>
      <c r="C6" t="s">
        <v>35</v>
      </c>
      <c r="E6" t="s">
        <v>92</v>
      </c>
    </row>
    <row r="8" ht="12.75">
      <c r="A8" s="3" t="s">
        <v>89</v>
      </c>
    </row>
    <row r="9" spans="1:5" ht="12.75">
      <c r="A9" s="1" t="s">
        <v>4</v>
      </c>
      <c r="B9" s="7">
        <v>14883</v>
      </c>
      <c r="C9" t="s">
        <v>21</v>
      </c>
      <c r="E9" t="s">
        <v>87</v>
      </c>
    </row>
    <row r="10" spans="1:5" ht="12.75">
      <c r="A10" s="1" t="s">
        <v>5</v>
      </c>
      <c r="B10" s="7">
        <v>13104</v>
      </c>
      <c r="C10" t="s">
        <v>21</v>
      </c>
      <c r="E10" t="s">
        <v>87</v>
      </c>
    </row>
    <row r="12" spans="1:5" ht="12.75">
      <c r="A12" s="1" t="s">
        <v>53</v>
      </c>
      <c r="B12" s="55">
        <v>5074</v>
      </c>
      <c r="C12" t="s">
        <v>21</v>
      </c>
      <c r="E12" t="s">
        <v>88</v>
      </c>
    </row>
    <row r="13" spans="1:5" ht="12.75">
      <c r="A13" s="1" t="s">
        <v>52</v>
      </c>
      <c r="B13" s="55">
        <v>4296</v>
      </c>
      <c r="C13" t="s">
        <v>21</v>
      </c>
      <c r="E13" t="s">
        <v>88</v>
      </c>
    </row>
    <row r="14" ht="12.75">
      <c r="B14" s="54"/>
    </row>
    <row r="15" spans="1:5" ht="12.75">
      <c r="A15" s="1" t="s">
        <v>1</v>
      </c>
      <c r="B15" s="55">
        <v>51889</v>
      </c>
      <c r="C15" t="s">
        <v>21</v>
      </c>
      <c r="E15" t="s">
        <v>90</v>
      </c>
    </row>
    <row r="16" spans="1:5" ht="12.75">
      <c r="A16" s="1" t="s">
        <v>2</v>
      </c>
      <c r="B16" s="55">
        <v>57540</v>
      </c>
      <c r="C16" t="s">
        <v>21</v>
      </c>
      <c r="E16" t="s">
        <v>90</v>
      </c>
    </row>
    <row r="17" spans="1:5" ht="12.75">
      <c r="A17" s="1" t="s">
        <v>3</v>
      </c>
      <c r="B17" s="56">
        <v>249</v>
      </c>
      <c r="C17" t="s">
        <v>35</v>
      </c>
      <c r="E17" t="s">
        <v>90</v>
      </c>
    </row>
    <row r="18" spans="1:9" ht="12.75">
      <c r="A18" s="1" t="s">
        <v>75</v>
      </c>
      <c r="B18" s="57">
        <f>B17*H18</f>
        <v>1732.5306818181818</v>
      </c>
      <c r="C18" t="s">
        <v>21</v>
      </c>
      <c r="F18" t="s">
        <v>76</v>
      </c>
      <c r="H18">
        <f>(3.14*345^2-3.14*150^2)/43560</f>
        <v>6.9579545454545455</v>
      </c>
      <c r="I18" t="s">
        <v>93</v>
      </c>
    </row>
    <row r="20" spans="1:3" ht="12.75">
      <c r="A20" s="3" t="s">
        <v>23</v>
      </c>
      <c r="B20" s="51">
        <v>2</v>
      </c>
      <c r="C20" t="s">
        <v>32</v>
      </c>
    </row>
    <row r="23" spans="1:2" ht="12.75">
      <c r="A23" s="3" t="s">
        <v>30</v>
      </c>
      <c r="B23" s="12" t="s">
        <v>33</v>
      </c>
    </row>
    <row r="24" spans="2:4" ht="12.75">
      <c r="B24" s="4">
        <v>2010</v>
      </c>
      <c r="C24" s="4" t="s">
        <v>31</v>
      </c>
      <c r="D24" s="4">
        <v>2040</v>
      </c>
    </row>
    <row r="25" spans="1:6" ht="12.75">
      <c r="A25" s="1" t="s">
        <v>13</v>
      </c>
      <c r="B25" s="52">
        <v>45000</v>
      </c>
      <c r="C25" s="5">
        <f>+B25+(-D25-B25)/2</f>
        <v>63255.635642325455</v>
      </c>
      <c r="D25" s="5">
        <f>FV(+B20/100,30,,+B25)</f>
        <v>-81511.27128465091</v>
      </c>
      <c r="F25" t="s">
        <v>100</v>
      </c>
    </row>
    <row r="26" spans="1:6" ht="12.75">
      <c r="A26" s="1" t="s">
        <v>14</v>
      </c>
      <c r="B26" s="52">
        <v>20000</v>
      </c>
      <c r="C26" s="5">
        <f>+B26+(-D26-B26)/2</f>
        <v>28113.615841033534</v>
      </c>
      <c r="D26" s="5">
        <f>FV(+B20/100,30,,+B26)</f>
        <v>-36227.23168206707</v>
      </c>
      <c r="F26" t="s">
        <v>99</v>
      </c>
    </row>
    <row r="27" spans="1:6" ht="12.75">
      <c r="A27" s="1" t="s">
        <v>15</v>
      </c>
      <c r="B27" s="52">
        <v>2100</v>
      </c>
      <c r="C27" s="5">
        <f>+B27+(-D27-B27)/2</f>
        <v>2951.9296633085214</v>
      </c>
      <c r="D27" s="5">
        <f>FV(+B20/100,30,,+B27)</f>
        <v>-3803.8593266170424</v>
      </c>
      <c r="F27" t="s">
        <v>98</v>
      </c>
    </row>
    <row r="30" ht="12.75">
      <c r="A30" s="2" t="s">
        <v>16</v>
      </c>
    </row>
    <row r="31" spans="1:3" ht="12.75">
      <c r="A31" s="1" t="s">
        <v>54</v>
      </c>
      <c r="B31" s="51">
        <v>10</v>
      </c>
      <c r="C31" t="s">
        <v>20</v>
      </c>
    </row>
    <row r="32" spans="1:3" ht="12.75">
      <c r="A32" s="1" t="s">
        <v>11</v>
      </c>
      <c r="B32" s="51">
        <v>40</v>
      </c>
      <c r="C32" t="s">
        <v>20</v>
      </c>
    </row>
    <row r="33" spans="1:3" ht="12.75">
      <c r="A33" s="1" t="s">
        <v>12</v>
      </c>
      <c r="B33" s="51">
        <v>90</v>
      </c>
      <c r="C33" t="s">
        <v>20</v>
      </c>
    </row>
    <row r="35" ht="12.75">
      <c r="A35" s="2" t="s">
        <v>17</v>
      </c>
    </row>
    <row r="36" spans="1:3" ht="12.75">
      <c r="A36" s="1" t="s">
        <v>54</v>
      </c>
      <c r="B36" s="51">
        <v>50</v>
      </c>
      <c r="C36" t="s">
        <v>20</v>
      </c>
    </row>
    <row r="37" spans="1:3" ht="12.75">
      <c r="A37" s="1" t="s">
        <v>11</v>
      </c>
      <c r="B37" s="51">
        <v>50</v>
      </c>
      <c r="C37" t="s">
        <v>20</v>
      </c>
    </row>
    <row r="38" spans="1:3" ht="12.75">
      <c r="A38" s="1" t="s">
        <v>12</v>
      </c>
      <c r="B38" s="51">
        <v>50</v>
      </c>
      <c r="C38" t="s">
        <v>20</v>
      </c>
    </row>
    <row r="41" ht="12.75">
      <c r="A41" s="2" t="s">
        <v>27</v>
      </c>
    </row>
    <row r="42" spans="1:3" ht="12.75">
      <c r="A42" s="1" t="s">
        <v>24</v>
      </c>
      <c r="B42" s="51">
        <v>30</v>
      </c>
      <c r="C42" t="s">
        <v>26</v>
      </c>
    </row>
    <row r="43" spans="1:3" ht="12.75">
      <c r="A43" s="1" t="s">
        <v>0</v>
      </c>
      <c r="B43" s="51">
        <v>30</v>
      </c>
      <c r="C43" t="s">
        <v>26</v>
      </c>
    </row>
    <row r="44" spans="1:3" ht="12.75">
      <c r="A44" s="1" t="s">
        <v>25</v>
      </c>
      <c r="B44" s="51">
        <v>30</v>
      </c>
      <c r="C44" t="s">
        <v>26</v>
      </c>
    </row>
    <row r="47" spans="1:3" ht="12.75">
      <c r="A47" s="3" t="s">
        <v>49</v>
      </c>
      <c r="B47" s="51">
        <v>25</v>
      </c>
      <c r="C47" t="s">
        <v>20</v>
      </c>
    </row>
    <row r="50" spans="1:2" ht="12.75">
      <c r="A50" s="3" t="s">
        <v>65</v>
      </c>
      <c r="B50" s="12" t="s">
        <v>33</v>
      </c>
    </row>
    <row r="51" spans="2:4" ht="12.75">
      <c r="B51" s="4">
        <v>2010</v>
      </c>
      <c r="C51" s="4" t="s">
        <v>31</v>
      </c>
      <c r="D51" s="4">
        <v>2040</v>
      </c>
    </row>
    <row r="52" spans="1:4" ht="12.75">
      <c r="A52" s="1" t="s">
        <v>55</v>
      </c>
      <c r="B52" s="5">
        <f>'Conservation Budget Model'!B31</f>
        <v>3000</v>
      </c>
      <c r="C52" s="5">
        <f aca="true" t="shared" si="0" ref="C52:C57">+B52+(-D52-B52)/2</f>
        <v>4217.04237615503</v>
      </c>
      <c r="D52" s="5">
        <f>FV(+B20/100,30,,+B52)</f>
        <v>-5434.08475231006</v>
      </c>
    </row>
    <row r="53" spans="1:4" ht="12.75">
      <c r="A53" s="1" t="s">
        <v>56</v>
      </c>
      <c r="B53" s="5">
        <f>'Conservation Budget Model'!B32</f>
        <v>1500</v>
      </c>
      <c r="C53" s="5">
        <f t="shared" si="0"/>
        <v>2108.521188077515</v>
      </c>
      <c r="D53" s="5">
        <f>FV(+B20/100,30,,+B53)</f>
        <v>-2717.04237615503</v>
      </c>
    </row>
    <row r="54" spans="1:4" ht="12.75">
      <c r="A54" s="1" t="s">
        <v>0</v>
      </c>
      <c r="B54" s="5">
        <f>'Conservation Budget Model'!B33</f>
        <v>1500</v>
      </c>
      <c r="C54" s="5">
        <f t="shared" si="0"/>
        <v>2108.521188077515</v>
      </c>
      <c r="D54" s="5">
        <f>FV(+B20/100,30,,+B54)</f>
        <v>-2717.04237615503</v>
      </c>
    </row>
    <row r="55" spans="1:4" ht="12.75">
      <c r="A55" s="10" t="s">
        <v>71</v>
      </c>
      <c r="B55" s="5">
        <f>'Conservation Budget Model'!B34</f>
        <v>400000</v>
      </c>
      <c r="C55" s="5">
        <f t="shared" si="0"/>
        <v>562272.3168206706</v>
      </c>
      <c r="D55" s="5">
        <f>FV(+B20/100,30,,+B55)</f>
        <v>-724544.6336413414</v>
      </c>
    </row>
    <row r="56" spans="1:4" ht="12.75">
      <c r="A56" s="10" t="s">
        <v>72</v>
      </c>
      <c r="B56" s="5">
        <f>'Conservation Budget Model'!B35</f>
        <v>40000</v>
      </c>
      <c r="C56" s="5">
        <f t="shared" si="0"/>
        <v>56227.23168206707</v>
      </c>
      <c r="D56" s="5">
        <f>FV(+B20/100,30,,+B56)</f>
        <v>-72454.46336413414</v>
      </c>
    </row>
    <row r="57" spans="1:4" ht="12.75">
      <c r="A57" s="10" t="s">
        <v>73</v>
      </c>
      <c r="B57" s="5">
        <f>'Conservation Budget Model'!B36</f>
        <v>100</v>
      </c>
      <c r="C57" s="5">
        <f t="shared" si="0"/>
        <v>140.5680792051677</v>
      </c>
      <c r="D57" s="5">
        <f>FV(+B20/100,30,,+B57)</f>
        <v>-181.13615841033536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U5" sqref="U5:W40"/>
    </sheetView>
  </sheetViews>
  <sheetFormatPr defaultColWidth="9.140625" defaultRowHeight="12.75"/>
  <cols>
    <col min="1" max="1" width="46.421875" style="0" bestFit="1" customWidth="1"/>
    <col min="2" max="2" width="9.7109375" style="0" bestFit="1" customWidth="1"/>
    <col min="6" max="6" width="55.421875" style="0" bestFit="1" customWidth="1"/>
    <col min="7" max="7" width="9.7109375" style="0" bestFit="1" customWidth="1"/>
    <col min="11" max="11" width="55.421875" style="0" bestFit="1" customWidth="1"/>
    <col min="12" max="12" width="9.7109375" style="0" bestFit="1" customWidth="1"/>
    <col min="16" max="16" width="55.421875" style="0" bestFit="1" customWidth="1"/>
    <col min="17" max="17" width="9.7109375" style="0" bestFit="1" customWidth="1"/>
    <col min="21" max="21" width="55.140625" style="0" bestFit="1" customWidth="1"/>
    <col min="22" max="22" width="9.7109375" style="0" bestFit="1" customWidth="1"/>
    <col min="26" max="26" width="62.57421875" style="0" bestFit="1" customWidth="1"/>
    <col min="27" max="27" width="9.7109375" style="0" bestFit="1" customWidth="1"/>
  </cols>
  <sheetData>
    <row r="1" ht="12.75">
      <c r="A1" t="s">
        <v>107</v>
      </c>
    </row>
    <row r="3" spans="1:26" ht="12.75">
      <c r="A3" s="47" t="s">
        <v>101</v>
      </c>
      <c r="F3" s="47" t="s">
        <v>102</v>
      </c>
      <c r="K3" s="47" t="s">
        <v>103</v>
      </c>
      <c r="P3" s="47" t="s">
        <v>104</v>
      </c>
      <c r="U3" s="47" t="s">
        <v>105</v>
      </c>
      <c r="Z3" s="47" t="s">
        <v>106</v>
      </c>
    </row>
    <row r="4" spans="1:28" ht="12.75">
      <c r="A4" s="9"/>
      <c r="B4" s="9"/>
      <c r="C4" s="9"/>
      <c r="F4" s="9"/>
      <c r="G4" s="9"/>
      <c r="H4" s="9"/>
      <c r="K4" s="9"/>
      <c r="L4" s="9"/>
      <c r="M4" s="9"/>
      <c r="P4" s="9"/>
      <c r="Q4" s="9"/>
      <c r="R4" s="9"/>
      <c r="U4" s="9"/>
      <c r="V4" s="9"/>
      <c r="W4" s="9"/>
      <c r="Z4" s="9"/>
      <c r="AA4" s="9"/>
      <c r="AB4" s="9"/>
    </row>
    <row r="5" spans="1:28" ht="12.75">
      <c r="A5" s="8" t="s">
        <v>58</v>
      </c>
      <c r="B5" s="11" t="s">
        <v>18</v>
      </c>
      <c r="C5" s="11" t="s">
        <v>19</v>
      </c>
      <c r="F5" s="8" t="s">
        <v>58</v>
      </c>
      <c r="G5" s="11" t="s">
        <v>18</v>
      </c>
      <c r="H5" s="11" t="s">
        <v>19</v>
      </c>
      <c r="K5" s="8" t="s">
        <v>58</v>
      </c>
      <c r="L5" s="11" t="s">
        <v>18</v>
      </c>
      <c r="M5" s="11" t="s">
        <v>19</v>
      </c>
      <c r="P5" s="8" t="s">
        <v>58</v>
      </c>
      <c r="Q5" s="11" t="s">
        <v>18</v>
      </c>
      <c r="R5" s="11" t="s">
        <v>19</v>
      </c>
      <c r="U5" s="8" t="s">
        <v>58</v>
      </c>
      <c r="V5" s="11" t="s">
        <v>18</v>
      </c>
      <c r="W5" s="11" t="s">
        <v>19</v>
      </c>
      <c r="Z5" s="8" t="s">
        <v>58</v>
      </c>
      <c r="AA5" s="11" t="s">
        <v>18</v>
      </c>
      <c r="AB5" s="11" t="s">
        <v>19</v>
      </c>
    </row>
    <row r="6" spans="1:28" ht="12.75">
      <c r="A6" s="10" t="s">
        <v>59</v>
      </c>
      <c r="B6" s="49">
        <v>50</v>
      </c>
      <c r="C6" s="9" t="s">
        <v>20</v>
      </c>
      <c r="F6" s="10" t="s">
        <v>59</v>
      </c>
      <c r="G6" s="49">
        <v>50</v>
      </c>
      <c r="H6" s="9" t="s">
        <v>20</v>
      </c>
      <c r="K6" s="10" t="s">
        <v>59</v>
      </c>
      <c r="L6" s="49">
        <v>50</v>
      </c>
      <c r="M6" s="9" t="s">
        <v>20</v>
      </c>
      <c r="P6" s="10" t="s">
        <v>59</v>
      </c>
      <c r="Q6" s="49">
        <v>50</v>
      </c>
      <c r="R6" s="9" t="s">
        <v>20</v>
      </c>
      <c r="U6" s="10" t="s">
        <v>59</v>
      </c>
      <c r="V6" s="49">
        <v>50</v>
      </c>
      <c r="W6" s="9" t="s">
        <v>20</v>
      </c>
      <c r="Z6" s="10" t="s">
        <v>59</v>
      </c>
      <c r="AA6" s="49">
        <v>50</v>
      </c>
      <c r="AB6" s="9" t="s">
        <v>20</v>
      </c>
    </row>
    <row r="7" spans="1:28" ht="12.75">
      <c r="A7" s="10" t="s">
        <v>60</v>
      </c>
      <c r="B7" s="49">
        <v>20</v>
      </c>
      <c r="C7" s="9" t="s">
        <v>20</v>
      </c>
      <c r="F7" s="10" t="s">
        <v>60</v>
      </c>
      <c r="G7" s="49">
        <v>20</v>
      </c>
      <c r="H7" s="9" t="s">
        <v>20</v>
      </c>
      <c r="K7" s="10" t="s">
        <v>60</v>
      </c>
      <c r="L7" s="49">
        <v>20</v>
      </c>
      <c r="M7" s="9" t="s">
        <v>20</v>
      </c>
      <c r="P7" s="10" t="s">
        <v>60</v>
      </c>
      <c r="Q7" s="49">
        <v>20</v>
      </c>
      <c r="R7" s="9" t="s">
        <v>20</v>
      </c>
      <c r="U7" s="10" t="s">
        <v>60</v>
      </c>
      <c r="V7" s="49">
        <v>20</v>
      </c>
      <c r="W7" s="9" t="s">
        <v>20</v>
      </c>
      <c r="Z7" s="10" t="s">
        <v>60</v>
      </c>
      <c r="AA7" s="49">
        <v>20</v>
      </c>
      <c r="AB7" s="9" t="s">
        <v>20</v>
      </c>
    </row>
    <row r="8" spans="1:28" ht="12.75">
      <c r="A8" s="10" t="s">
        <v>77</v>
      </c>
      <c r="B8" s="49">
        <v>5</v>
      </c>
      <c r="C8" s="9" t="s">
        <v>20</v>
      </c>
      <c r="F8" s="10" t="s">
        <v>77</v>
      </c>
      <c r="G8" s="49">
        <v>5</v>
      </c>
      <c r="H8" s="9" t="s">
        <v>20</v>
      </c>
      <c r="K8" s="10" t="s">
        <v>77</v>
      </c>
      <c r="L8" s="49">
        <v>5</v>
      </c>
      <c r="M8" s="9" t="s">
        <v>20</v>
      </c>
      <c r="P8" s="10" t="s">
        <v>77</v>
      </c>
      <c r="Q8" s="49">
        <v>5</v>
      </c>
      <c r="R8" s="9" t="s">
        <v>20</v>
      </c>
      <c r="U8" s="10" t="s">
        <v>77</v>
      </c>
      <c r="V8" s="49">
        <v>5</v>
      </c>
      <c r="W8" s="9" t="s">
        <v>20</v>
      </c>
      <c r="Z8" s="10" t="s">
        <v>77</v>
      </c>
      <c r="AA8" s="49">
        <v>5</v>
      </c>
      <c r="AB8" s="9" t="s">
        <v>20</v>
      </c>
    </row>
    <row r="9" spans="1:28" ht="12.75">
      <c r="A9" s="10" t="s">
        <v>78</v>
      </c>
      <c r="B9" s="49">
        <v>5</v>
      </c>
      <c r="C9" s="9" t="s">
        <v>20</v>
      </c>
      <c r="F9" s="10" t="s">
        <v>78</v>
      </c>
      <c r="G9" s="49">
        <v>5</v>
      </c>
      <c r="H9" s="9" t="s">
        <v>20</v>
      </c>
      <c r="K9" s="10" t="s">
        <v>78</v>
      </c>
      <c r="L9" s="49">
        <v>5</v>
      </c>
      <c r="M9" s="9" t="s">
        <v>20</v>
      </c>
      <c r="P9" s="10" t="s">
        <v>78</v>
      </c>
      <c r="Q9" s="49">
        <v>5</v>
      </c>
      <c r="R9" s="9" t="s">
        <v>20</v>
      </c>
      <c r="U9" s="10" t="s">
        <v>78</v>
      </c>
      <c r="V9" s="49">
        <v>5</v>
      </c>
      <c r="W9" s="9" t="s">
        <v>20</v>
      </c>
      <c r="Z9" s="10" t="s">
        <v>78</v>
      </c>
      <c r="AA9" s="49">
        <v>5</v>
      </c>
      <c r="AB9" s="9" t="s">
        <v>20</v>
      </c>
    </row>
    <row r="10" spans="1:28" ht="12.75">
      <c r="A10" s="10" t="s">
        <v>79</v>
      </c>
      <c r="B10" s="49">
        <v>50</v>
      </c>
      <c r="C10" s="9" t="s">
        <v>20</v>
      </c>
      <c r="F10" s="10" t="s">
        <v>79</v>
      </c>
      <c r="G10" s="49">
        <v>50</v>
      </c>
      <c r="H10" s="9" t="s">
        <v>20</v>
      </c>
      <c r="K10" s="10" t="s">
        <v>79</v>
      </c>
      <c r="L10" s="49">
        <v>50</v>
      </c>
      <c r="M10" s="9" t="s">
        <v>20</v>
      </c>
      <c r="P10" s="10" t="s">
        <v>79</v>
      </c>
      <c r="Q10" s="49">
        <v>50</v>
      </c>
      <c r="R10" s="9" t="s">
        <v>20</v>
      </c>
      <c r="U10" s="10" t="s">
        <v>79</v>
      </c>
      <c r="V10" s="49">
        <v>50</v>
      </c>
      <c r="W10" s="9" t="s">
        <v>20</v>
      </c>
      <c r="Z10" s="10" t="s">
        <v>79</v>
      </c>
      <c r="AA10" s="49">
        <v>50</v>
      </c>
      <c r="AB10" s="9" t="s">
        <v>20</v>
      </c>
    </row>
    <row r="11" spans="1:28" ht="12.75">
      <c r="A11" s="9"/>
      <c r="B11" s="49"/>
      <c r="C11" s="9"/>
      <c r="F11" s="9"/>
      <c r="G11" s="49"/>
      <c r="H11" s="9"/>
      <c r="K11" s="9"/>
      <c r="L11" s="49"/>
      <c r="M11" s="9"/>
      <c r="P11" s="9"/>
      <c r="Q11" s="49"/>
      <c r="R11" s="9"/>
      <c r="U11" s="9"/>
      <c r="V11" s="49"/>
      <c r="W11" s="9"/>
      <c r="Z11" s="9"/>
      <c r="AA11" s="49"/>
      <c r="AB11" s="9"/>
    </row>
    <row r="12" spans="1:28" ht="12.75">
      <c r="A12" s="11" t="s">
        <v>8</v>
      </c>
      <c r="B12" s="49"/>
      <c r="C12" s="9"/>
      <c r="F12" s="11" t="s">
        <v>8</v>
      </c>
      <c r="G12" s="49"/>
      <c r="H12" s="9"/>
      <c r="K12" s="11" t="s">
        <v>8</v>
      </c>
      <c r="L12" s="49"/>
      <c r="M12" s="9"/>
      <c r="P12" s="11" t="s">
        <v>8</v>
      </c>
      <c r="Q12" s="49"/>
      <c r="R12" s="9"/>
      <c r="U12" s="11" t="s">
        <v>8</v>
      </c>
      <c r="V12" s="49"/>
      <c r="W12" s="9"/>
      <c r="Z12" s="11" t="s">
        <v>8</v>
      </c>
      <c r="AA12" s="49"/>
      <c r="AB12" s="9"/>
    </row>
    <row r="13" spans="1:28" ht="12.75">
      <c r="A13" s="10" t="s">
        <v>36</v>
      </c>
      <c r="B13" s="50">
        <v>2400</v>
      </c>
      <c r="C13" s="9" t="s">
        <v>21</v>
      </c>
      <c r="F13" s="10" t="s">
        <v>36</v>
      </c>
      <c r="G13" s="50">
        <v>2400</v>
      </c>
      <c r="H13" s="9" t="s">
        <v>21</v>
      </c>
      <c r="K13" s="10" t="s">
        <v>36</v>
      </c>
      <c r="L13" s="50">
        <v>2400</v>
      </c>
      <c r="M13" s="9" t="s">
        <v>21</v>
      </c>
      <c r="P13" s="10" t="s">
        <v>36</v>
      </c>
      <c r="Q13" s="50">
        <v>2400</v>
      </c>
      <c r="R13" s="9" t="s">
        <v>21</v>
      </c>
      <c r="U13" s="10" t="s">
        <v>36</v>
      </c>
      <c r="V13" s="50">
        <v>2400</v>
      </c>
      <c r="W13" s="9" t="s">
        <v>21</v>
      </c>
      <c r="Z13" s="10" t="s">
        <v>36</v>
      </c>
      <c r="AA13" s="50">
        <v>2400</v>
      </c>
      <c r="AB13" s="9" t="s">
        <v>21</v>
      </c>
    </row>
    <row r="14" spans="1:28" ht="12.75">
      <c r="A14" s="10"/>
      <c r="B14" s="50"/>
      <c r="C14" s="9"/>
      <c r="F14" s="10"/>
      <c r="G14" s="50"/>
      <c r="H14" s="9"/>
      <c r="K14" s="10"/>
      <c r="L14" s="50"/>
      <c r="M14" s="9"/>
      <c r="P14" s="10"/>
      <c r="Q14" s="50"/>
      <c r="R14" s="9"/>
      <c r="U14" s="10"/>
      <c r="V14" s="50"/>
      <c r="W14" s="9"/>
      <c r="Z14" s="10"/>
      <c r="AA14" s="50"/>
      <c r="AB14" s="9"/>
    </row>
    <row r="15" spans="1:27" ht="12.75">
      <c r="A15" s="2" t="s">
        <v>9</v>
      </c>
      <c r="B15" s="51"/>
      <c r="F15" s="2" t="s">
        <v>9</v>
      </c>
      <c r="G15" s="51"/>
      <c r="K15" s="2" t="s">
        <v>9</v>
      </c>
      <c r="L15" s="51"/>
      <c r="P15" s="2" t="s">
        <v>9</v>
      </c>
      <c r="Q15" s="51"/>
      <c r="U15" s="2" t="s">
        <v>9</v>
      </c>
      <c r="V15" s="51"/>
      <c r="Z15" s="2" t="s">
        <v>9</v>
      </c>
      <c r="AA15" s="51"/>
    </row>
    <row r="16" spans="1:28" ht="12.75">
      <c r="A16" s="1" t="s">
        <v>6</v>
      </c>
      <c r="B16" s="51">
        <v>3</v>
      </c>
      <c r="C16" t="s">
        <v>22</v>
      </c>
      <c r="F16" s="1" t="s">
        <v>6</v>
      </c>
      <c r="G16" s="51">
        <v>3</v>
      </c>
      <c r="H16" t="s">
        <v>22</v>
      </c>
      <c r="K16" s="1" t="s">
        <v>6</v>
      </c>
      <c r="L16" s="51">
        <v>2</v>
      </c>
      <c r="M16" t="s">
        <v>22</v>
      </c>
      <c r="P16" s="1" t="s">
        <v>6</v>
      </c>
      <c r="Q16" s="51">
        <v>2</v>
      </c>
      <c r="R16" t="s">
        <v>22</v>
      </c>
      <c r="U16" s="1" t="s">
        <v>6</v>
      </c>
      <c r="V16" s="51">
        <v>1</v>
      </c>
      <c r="W16" t="s">
        <v>22</v>
      </c>
      <c r="Z16" s="1" t="s">
        <v>6</v>
      </c>
      <c r="AA16" s="51">
        <v>2</v>
      </c>
      <c r="AB16" t="s">
        <v>22</v>
      </c>
    </row>
    <row r="17" spans="1:28" ht="12.75">
      <c r="A17" s="1" t="s">
        <v>7</v>
      </c>
      <c r="B17" s="51">
        <v>2</v>
      </c>
      <c r="C17" t="s">
        <v>22</v>
      </c>
      <c r="F17" s="1" t="s">
        <v>7</v>
      </c>
      <c r="G17" s="51">
        <v>2</v>
      </c>
      <c r="H17" t="s">
        <v>22</v>
      </c>
      <c r="K17" s="1" t="s">
        <v>7</v>
      </c>
      <c r="L17" s="51">
        <v>2</v>
      </c>
      <c r="M17" t="s">
        <v>22</v>
      </c>
      <c r="P17" s="1" t="s">
        <v>7</v>
      </c>
      <c r="Q17" s="51">
        <v>2</v>
      </c>
      <c r="R17" t="s">
        <v>22</v>
      </c>
      <c r="U17" s="1" t="s">
        <v>7</v>
      </c>
      <c r="V17" s="51">
        <v>1</v>
      </c>
      <c r="W17" t="s">
        <v>22</v>
      </c>
      <c r="Z17" s="1" t="s">
        <v>7</v>
      </c>
      <c r="AA17" s="51">
        <v>1</v>
      </c>
      <c r="AB17" t="s">
        <v>22</v>
      </c>
    </row>
    <row r="18" spans="2:27" ht="12.75">
      <c r="B18" s="51"/>
      <c r="G18" s="51"/>
      <c r="L18" s="51"/>
      <c r="Q18" s="51"/>
      <c r="V18" s="51"/>
      <c r="AA18" s="51"/>
    </row>
    <row r="19" spans="1:28" ht="12.75">
      <c r="A19" s="2" t="s">
        <v>10</v>
      </c>
      <c r="B19" s="51">
        <v>2</v>
      </c>
      <c r="C19" t="s">
        <v>22</v>
      </c>
      <c r="F19" s="2" t="s">
        <v>10</v>
      </c>
      <c r="G19" s="51">
        <v>2</v>
      </c>
      <c r="H19" t="s">
        <v>22</v>
      </c>
      <c r="K19" s="2" t="s">
        <v>10</v>
      </c>
      <c r="L19" s="51">
        <v>2</v>
      </c>
      <c r="M19" t="s">
        <v>22</v>
      </c>
      <c r="P19" s="2" t="s">
        <v>10</v>
      </c>
      <c r="Q19" s="51">
        <v>2</v>
      </c>
      <c r="R19" t="s">
        <v>22</v>
      </c>
      <c r="U19" s="2" t="s">
        <v>10</v>
      </c>
      <c r="V19" s="51">
        <v>1</v>
      </c>
      <c r="W19" t="s">
        <v>22</v>
      </c>
      <c r="Z19" s="2" t="s">
        <v>10</v>
      </c>
      <c r="AA19" s="51">
        <v>1</v>
      </c>
      <c r="AB19" t="s">
        <v>22</v>
      </c>
    </row>
    <row r="20" spans="2:27" ht="12.75">
      <c r="B20" s="51"/>
      <c r="G20" s="51"/>
      <c r="L20" s="51"/>
      <c r="Q20" s="51"/>
      <c r="V20" s="51"/>
      <c r="AA20" s="51"/>
    </row>
    <row r="21" spans="1:27" ht="12.75">
      <c r="A21" s="2" t="s">
        <v>37</v>
      </c>
      <c r="B21" s="51"/>
      <c r="F21" s="2" t="s">
        <v>37</v>
      </c>
      <c r="G21" s="51"/>
      <c r="K21" s="2" t="s">
        <v>37</v>
      </c>
      <c r="L21" s="51"/>
      <c r="P21" s="2" t="s">
        <v>37</v>
      </c>
      <c r="Q21" s="51"/>
      <c r="U21" s="2" t="s">
        <v>37</v>
      </c>
      <c r="V21" s="51"/>
      <c r="Z21" s="2" t="s">
        <v>37</v>
      </c>
      <c r="AA21" s="51"/>
    </row>
    <row r="22" spans="1:28" ht="12.75">
      <c r="A22" s="1" t="s">
        <v>11</v>
      </c>
      <c r="B22" s="51">
        <v>60</v>
      </c>
      <c r="C22" t="s">
        <v>20</v>
      </c>
      <c r="F22" s="1" t="s">
        <v>11</v>
      </c>
      <c r="G22" s="51">
        <v>10</v>
      </c>
      <c r="H22" t="s">
        <v>20</v>
      </c>
      <c r="K22" s="1" t="s">
        <v>11</v>
      </c>
      <c r="L22" s="51">
        <v>60</v>
      </c>
      <c r="M22" t="s">
        <v>20</v>
      </c>
      <c r="P22" s="1" t="s">
        <v>11</v>
      </c>
      <c r="Q22" s="51">
        <v>10</v>
      </c>
      <c r="R22" t="s">
        <v>20</v>
      </c>
      <c r="U22" s="1" t="s">
        <v>11</v>
      </c>
      <c r="V22" s="51">
        <v>60</v>
      </c>
      <c r="W22" t="s">
        <v>20</v>
      </c>
      <c r="Z22" s="1" t="s">
        <v>11</v>
      </c>
      <c r="AA22" s="51">
        <v>25</v>
      </c>
      <c r="AB22" t="s">
        <v>20</v>
      </c>
    </row>
    <row r="23" spans="1:28" ht="12.75">
      <c r="A23" s="1" t="s">
        <v>12</v>
      </c>
      <c r="B23" s="56">
        <f>100-B22</f>
        <v>40</v>
      </c>
      <c r="C23" t="s">
        <v>20</v>
      </c>
      <c r="F23" s="1" t="s">
        <v>12</v>
      </c>
      <c r="G23" s="56">
        <f>100-G22</f>
        <v>90</v>
      </c>
      <c r="H23" t="s">
        <v>20</v>
      </c>
      <c r="K23" s="1" t="s">
        <v>12</v>
      </c>
      <c r="L23" s="56">
        <f>100-L22</f>
        <v>40</v>
      </c>
      <c r="M23" t="s">
        <v>20</v>
      </c>
      <c r="P23" s="1" t="s">
        <v>12</v>
      </c>
      <c r="Q23" s="56">
        <f>100-Q22</f>
        <v>90</v>
      </c>
      <c r="R23" t="s">
        <v>20</v>
      </c>
      <c r="U23" s="1" t="s">
        <v>12</v>
      </c>
      <c r="V23" s="56">
        <f>100-V22</f>
        <v>40</v>
      </c>
      <c r="W23" t="s">
        <v>20</v>
      </c>
      <c r="Z23" s="1" t="s">
        <v>12</v>
      </c>
      <c r="AA23" s="56">
        <f>100-AA22</f>
        <v>75</v>
      </c>
      <c r="AB23" t="s">
        <v>20</v>
      </c>
    </row>
    <row r="24" spans="2:27" ht="12.75">
      <c r="B24" s="51"/>
      <c r="G24" s="51"/>
      <c r="L24" s="51"/>
      <c r="Q24" s="51"/>
      <c r="V24" s="51"/>
      <c r="AA24" s="51"/>
    </row>
    <row r="25" spans="1:27" ht="12.75">
      <c r="A25" s="2" t="s">
        <v>38</v>
      </c>
      <c r="B25" s="51"/>
      <c r="F25" s="2" t="s">
        <v>38</v>
      </c>
      <c r="G25" s="51"/>
      <c r="K25" s="2" t="s">
        <v>38</v>
      </c>
      <c r="L25" s="51"/>
      <c r="P25" s="2" t="s">
        <v>38</v>
      </c>
      <c r="Q25" s="51"/>
      <c r="U25" s="2" t="s">
        <v>38</v>
      </c>
      <c r="V25" s="51"/>
      <c r="Z25" s="2" t="s">
        <v>38</v>
      </c>
      <c r="AA25" s="51"/>
    </row>
    <row r="26" spans="1:28" ht="12.75">
      <c r="A26" s="1" t="s">
        <v>11</v>
      </c>
      <c r="B26" s="51">
        <v>0</v>
      </c>
      <c r="C26" t="s">
        <v>20</v>
      </c>
      <c r="F26" s="1" t="s">
        <v>11</v>
      </c>
      <c r="G26" s="51">
        <v>0</v>
      </c>
      <c r="H26" t="s">
        <v>20</v>
      </c>
      <c r="K26" s="1" t="s">
        <v>11</v>
      </c>
      <c r="L26" s="51">
        <v>0</v>
      </c>
      <c r="M26" t="s">
        <v>20</v>
      </c>
      <c r="P26" s="1" t="s">
        <v>11</v>
      </c>
      <c r="Q26" s="51">
        <v>0</v>
      </c>
      <c r="R26" t="s">
        <v>20</v>
      </c>
      <c r="U26" s="1" t="s">
        <v>11</v>
      </c>
      <c r="V26" s="51">
        <v>0</v>
      </c>
      <c r="W26" t="s">
        <v>20</v>
      </c>
      <c r="Z26" s="1" t="s">
        <v>11</v>
      </c>
      <c r="AA26" s="51">
        <v>0</v>
      </c>
      <c r="AB26" t="s">
        <v>20</v>
      </c>
    </row>
    <row r="27" spans="1:28" ht="12.75">
      <c r="A27" s="1" t="s">
        <v>12</v>
      </c>
      <c r="B27" s="56">
        <f>100-B26</f>
        <v>100</v>
      </c>
      <c r="C27" t="s">
        <v>20</v>
      </c>
      <c r="F27" s="1" t="s">
        <v>12</v>
      </c>
      <c r="G27" s="56">
        <f>100-G26</f>
        <v>100</v>
      </c>
      <c r="H27" t="s">
        <v>20</v>
      </c>
      <c r="K27" s="1" t="s">
        <v>12</v>
      </c>
      <c r="L27" s="56">
        <f>100-L26</f>
        <v>100</v>
      </c>
      <c r="M27" t="s">
        <v>20</v>
      </c>
      <c r="P27" s="1" t="s">
        <v>12</v>
      </c>
      <c r="Q27" s="56">
        <f>100-Q26</f>
        <v>100</v>
      </c>
      <c r="R27" t="s">
        <v>20</v>
      </c>
      <c r="U27" s="1" t="s">
        <v>12</v>
      </c>
      <c r="V27" s="56">
        <f>100-V26</f>
        <v>100</v>
      </c>
      <c r="W27" t="s">
        <v>20</v>
      </c>
      <c r="Z27" s="1" t="s">
        <v>12</v>
      </c>
      <c r="AA27" s="56">
        <f>100-AA26</f>
        <v>100</v>
      </c>
      <c r="AB27" t="s">
        <v>20</v>
      </c>
    </row>
    <row r="28" spans="1:27" ht="12.75">
      <c r="A28" s="1"/>
      <c r="B28" s="51"/>
      <c r="F28" s="1"/>
      <c r="G28" s="51"/>
      <c r="K28" s="1"/>
      <c r="L28" s="51"/>
      <c r="P28" s="1"/>
      <c r="Q28" s="51"/>
      <c r="U28" s="1"/>
      <c r="V28" s="51"/>
      <c r="Z28" s="1"/>
      <c r="AA28" s="51"/>
    </row>
    <row r="29" spans="1:27" ht="12.75">
      <c r="A29" s="2" t="s">
        <v>39</v>
      </c>
      <c r="B29" s="51"/>
      <c r="F29" s="2" t="s">
        <v>39</v>
      </c>
      <c r="G29" s="51"/>
      <c r="K29" s="2" t="s">
        <v>39</v>
      </c>
      <c r="L29" s="51"/>
      <c r="P29" s="2" t="s">
        <v>39</v>
      </c>
      <c r="Q29" s="51"/>
      <c r="U29" s="2" t="s">
        <v>39</v>
      </c>
      <c r="V29" s="51"/>
      <c r="Z29" s="2" t="s">
        <v>39</v>
      </c>
      <c r="AA29" s="51"/>
    </row>
    <row r="30" spans="1:28" ht="12.75">
      <c r="A30" s="1" t="s">
        <v>11</v>
      </c>
      <c r="B30" s="51">
        <v>0</v>
      </c>
      <c r="C30" t="s">
        <v>20</v>
      </c>
      <c r="F30" s="1" t="s">
        <v>11</v>
      </c>
      <c r="G30" s="51">
        <v>0</v>
      </c>
      <c r="H30" t="s">
        <v>20</v>
      </c>
      <c r="K30" s="1" t="s">
        <v>11</v>
      </c>
      <c r="L30" s="51">
        <v>0</v>
      </c>
      <c r="M30" t="s">
        <v>20</v>
      </c>
      <c r="P30" s="1" t="s">
        <v>11</v>
      </c>
      <c r="Q30" s="51">
        <v>0</v>
      </c>
      <c r="R30" t="s">
        <v>20</v>
      </c>
      <c r="U30" s="1" t="s">
        <v>11</v>
      </c>
      <c r="V30" s="51">
        <v>0</v>
      </c>
      <c r="W30" t="s">
        <v>20</v>
      </c>
      <c r="Z30" s="1" t="s">
        <v>11</v>
      </c>
      <c r="AA30" s="51">
        <v>0</v>
      </c>
      <c r="AB30" t="s">
        <v>20</v>
      </c>
    </row>
    <row r="31" spans="1:28" ht="12.75">
      <c r="A31" s="1" t="s">
        <v>12</v>
      </c>
      <c r="B31" s="56">
        <v>100</v>
      </c>
      <c r="C31" t="s">
        <v>20</v>
      </c>
      <c r="F31" s="1" t="s">
        <v>12</v>
      </c>
      <c r="G31" s="56">
        <v>100</v>
      </c>
      <c r="H31" t="s">
        <v>20</v>
      </c>
      <c r="K31" s="1" t="s">
        <v>12</v>
      </c>
      <c r="L31" s="56">
        <v>100</v>
      </c>
      <c r="M31" t="s">
        <v>20</v>
      </c>
      <c r="P31" s="1" t="s">
        <v>12</v>
      </c>
      <c r="Q31" s="56">
        <v>100</v>
      </c>
      <c r="R31" t="s">
        <v>20</v>
      </c>
      <c r="U31" s="1" t="s">
        <v>12</v>
      </c>
      <c r="V31" s="56">
        <v>100</v>
      </c>
      <c r="W31" t="s">
        <v>20</v>
      </c>
      <c r="Z31" s="1" t="s">
        <v>12</v>
      </c>
      <c r="AA31" s="56">
        <v>100</v>
      </c>
      <c r="AB31" t="s">
        <v>20</v>
      </c>
    </row>
    <row r="32" spans="2:27" ht="12.75">
      <c r="B32" s="51"/>
      <c r="G32" s="51"/>
      <c r="L32" s="51"/>
      <c r="Q32" s="51"/>
      <c r="V32" s="51"/>
      <c r="AA32" s="51"/>
    </row>
    <row r="33" spans="2:27" ht="12.75">
      <c r="B33" s="51"/>
      <c r="G33" s="51"/>
      <c r="L33" s="51"/>
      <c r="Q33" s="51"/>
      <c r="V33" s="51"/>
      <c r="AA33" s="51"/>
    </row>
    <row r="34" spans="1:27" ht="12.75">
      <c r="A34" s="2" t="s">
        <v>64</v>
      </c>
      <c r="B34" s="51"/>
      <c r="F34" s="2" t="s">
        <v>64</v>
      </c>
      <c r="G34" s="51"/>
      <c r="K34" s="2" t="s">
        <v>64</v>
      </c>
      <c r="L34" s="51"/>
      <c r="P34" s="2" t="s">
        <v>64</v>
      </c>
      <c r="Q34" s="51"/>
      <c r="U34" s="2" t="s">
        <v>64</v>
      </c>
      <c r="V34" s="51"/>
      <c r="Z34" s="2" t="s">
        <v>64</v>
      </c>
      <c r="AA34" s="51"/>
    </row>
    <row r="35" spans="1:28" ht="12.75">
      <c r="A35" s="1" t="s">
        <v>55</v>
      </c>
      <c r="B35" s="52">
        <v>3000</v>
      </c>
      <c r="C35" t="s">
        <v>94</v>
      </c>
      <c r="F35" s="1" t="s">
        <v>55</v>
      </c>
      <c r="G35" s="52">
        <v>3000</v>
      </c>
      <c r="H35" t="s">
        <v>94</v>
      </c>
      <c r="K35" s="1" t="s">
        <v>55</v>
      </c>
      <c r="L35" s="52">
        <v>3000</v>
      </c>
      <c r="M35" t="s">
        <v>94</v>
      </c>
      <c r="P35" s="1" t="s">
        <v>55</v>
      </c>
      <c r="Q35" s="52">
        <v>3000</v>
      </c>
      <c r="R35" t="s">
        <v>94</v>
      </c>
      <c r="U35" s="1" t="s">
        <v>55</v>
      </c>
      <c r="V35" s="52">
        <v>3000</v>
      </c>
      <c r="W35" t="s">
        <v>94</v>
      </c>
      <c r="Z35" s="1" t="s">
        <v>55</v>
      </c>
      <c r="AA35" s="52">
        <v>3000</v>
      </c>
      <c r="AB35" t="s">
        <v>94</v>
      </c>
    </row>
    <row r="36" spans="1:28" ht="12.75">
      <c r="A36" s="1" t="s">
        <v>56</v>
      </c>
      <c r="B36" s="52">
        <v>1500</v>
      </c>
      <c r="C36" t="s">
        <v>94</v>
      </c>
      <c r="F36" s="1" t="s">
        <v>56</v>
      </c>
      <c r="G36" s="52">
        <v>1500</v>
      </c>
      <c r="H36" t="s">
        <v>94</v>
      </c>
      <c r="K36" s="1" t="s">
        <v>56</v>
      </c>
      <c r="L36" s="52">
        <v>1500</v>
      </c>
      <c r="M36" t="s">
        <v>94</v>
      </c>
      <c r="P36" s="1" t="s">
        <v>56</v>
      </c>
      <c r="Q36" s="52">
        <v>1500</v>
      </c>
      <c r="R36" t="s">
        <v>94</v>
      </c>
      <c r="U36" s="1" t="s">
        <v>56</v>
      </c>
      <c r="V36" s="52">
        <v>1500</v>
      </c>
      <c r="W36" t="s">
        <v>94</v>
      </c>
      <c r="Z36" s="1" t="s">
        <v>56</v>
      </c>
      <c r="AA36" s="52">
        <v>1500</v>
      </c>
      <c r="AB36" t="s">
        <v>94</v>
      </c>
    </row>
    <row r="37" spans="1:28" ht="12.75">
      <c r="A37" s="1" t="s">
        <v>0</v>
      </c>
      <c r="B37" s="52">
        <v>1500</v>
      </c>
      <c r="C37" t="s">
        <v>94</v>
      </c>
      <c r="F37" s="1" t="s">
        <v>0</v>
      </c>
      <c r="G37" s="52">
        <v>1500</v>
      </c>
      <c r="H37" t="s">
        <v>94</v>
      </c>
      <c r="K37" s="1" t="s">
        <v>0</v>
      </c>
      <c r="L37" s="52">
        <v>1500</v>
      </c>
      <c r="M37" t="s">
        <v>94</v>
      </c>
      <c r="P37" s="1" t="s">
        <v>0</v>
      </c>
      <c r="Q37" s="52">
        <v>1500</v>
      </c>
      <c r="R37" t="s">
        <v>94</v>
      </c>
      <c r="U37" s="1" t="s">
        <v>0</v>
      </c>
      <c r="V37" s="52">
        <v>1500</v>
      </c>
      <c r="W37" t="s">
        <v>94</v>
      </c>
      <c r="Z37" s="1" t="s">
        <v>0</v>
      </c>
      <c r="AA37" s="52">
        <v>1500</v>
      </c>
      <c r="AB37" t="s">
        <v>94</v>
      </c>
    </row>
    <row r="38" spans="1:28" ht="12.75">
      <c r="A38" s="10" t="s">
        <v>77</v>
      </c>
      <c r="B38" s="52">
        <v>400000</v>
      </c>
      <c r="C38" t="s">
        <v>74</v>
      </c>
      <c r="F38" s="10" t="s">
        <v>77</v>
      </c>
      <c r="G38" s="52">
        <v>400000</v>
      </c>
      <c r="H38" t="s">
        <v>74</v>
      </c>
      <c r="K38" s="10" t="s">
        <v>77</v>
      </c>
      <c r="L38" s="52">
        <v>400000</v>
      </c>
      <c r="M38" t="s">
        <v>74</v>
      </c>
      <c r="P38" s="10" t="s">
        <v>77</v>
      </c>
      <c r="Q38" s="52">
        <v>400000</v>
      </c>
      <c r="R38" t="s">
        <v>74</v>
      </c>
      <c r="U38" s="10" t="s">
        <v>77</v>
      </c>
      <c r="V38" s="52">
        <v>400000</v>
      </c>
      <c r="W38" t="s">
        <v>74</v>
      </c>
      <c r="Z38" s="10" t="s">
        <v>77</v>
      </c>
      <c r="AA38" s="52">
        <v>400000</v>
      </c>
      <c r="AB38" t="s">
        <v>74</v>
      </c>
    </row>
    <row r="39" spans="1:28" ht="12.75">
      <c r="A39" s="10" t="s">
        <v>78</v>
      </c>
      <c r="B39" s="52">
        <v>40000</v>
      </c>
      <c r="C39" t="s">
        <v>91</v>
      </c>
      <c r="F39" s="10" t="s">
        <v>78</v>
      </c>
      <c r="G39" s="52">
        <v>40000</v>
      </c>
      <c r="H39" t="s">
        <v>91</v>
      </c>
      <c r="K39" s="10" t="s">
        <v>78</v>
      </c>
      <c r="L39" s="52">
        <v>40000</v>
      </c>
      <c r="M39" t="s">
        <v>91</v>
      </c>
      <c r="P39" s="10" t="s">
        <v>78</v>
      </c>
      <c r="Q39" s="52">
        <v>40000</v>
      </c>
      <c r="R39" t="s">
        <v>91</v>
      </c>
      <c r="U39" s="10" t="s">
        <v>78</v>
      </c>
      <c r="V39" s="52">
        <v>40000</v>
      </c>
      <c r="W39" t="s">
        <v>91</v>
      </c>
      <c r="Z39" s="10" t="s">
        <v>78</v>
      </c>
      <c r="AA39" s="52">
        <v>40000</v>
      </c>
      <c r="AB39" t="s">
        <v>91</v>
      </c>
    </row>
    <row r="40" spans="1:28" ht="12.75">
      <c r="A40" s="10" t="s">
        <v>79</v>
      </c>
      <c r="B40" s="52">
        <v>100</v>
      </c>
      <c r="C40" t="s">
        <v>91</v>
      </c>
      <c r="F40" s="10" t="s">
        <v>79</v>
      </c>
      <c r="G40" s="52">
        <v>100</v>
      </c>
      <c r="H40" t="s">
        <v>91</v>
      </c>
      <c r="K40" s="10" t="s">
        <v>79</v>
      </c>
      <c r="L40" s="52">
        <v>100</v>
      </c>
      <c r="M40" t="s">
        <v>91</v>
      </c>
      <c r="P40" s="10" t="s">
        <v>79</v>
      </c>
      <c r="Q40" s="52">
        <v>100</v>
      </c>
      <c r="R40" t="s">
        <v>91</v>
      </c>
      <c r="U40" s="10" t="s">
        <v>79</v>
      </c>
      <c r="V40" s="52">
        <v>100</v>
      </c>
      <c r="W40" t="s">
        <v>91</v>
      </c>
      <c r="Z40" s="10" t="s">
        <v>79</v>
      </c>
      <c r="AA40" s="52">
        <v>100</v>
      </c>
      <c r="AB40" t="s">
        <v>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Loomis Partners,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Aurora</dc:creator>
  <cp:keywords/>
  <dc:description/>
  <cp:lastModifiedBy>Amanda Aurora</cp:lastModifiedBy>
  <cp:lastPrinted>2010-12-22T17:17:44Z</cp:lastPrinted>
  <dcterms:created xsi:type="dcterms:W3CDTF">2010-12-16T21:25:21Z</dcterms:created>
  <dcterms:modified xsi:type="dcterms:W3CDTF">2010-12-28T22:37:10Z</dcterms:modified>
  <cp:category/>
  <cp:version/>
  <cp:contentType/>
  <cp:contentStatus/>
</cp:coreProperties>
</file>